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9645"/>
  </bookViews>
  <sheets>
    <sheet name="Load Metrics" sheetId="4" r:id="rId1"/>
    <sheet name="Coefficients" sheetId="2" r:id="rId2"/>
    <sheet name="Sheet1" sheetId="1" r:id="rId3"/>
    <sheet name="Sheet3" sheetId="3" r:id="rId4"/>
  </sheets>
  <definedNames>
    <definedName name="AvgOrderPerCustomer">Coefficients!$C$4</definedName>
    <definedName name="NoOfCustomers">Coefficients!$C$3</definedName>
    <definedName name="NoProducts">Coefficients!$C$13</definedName>
    <definedName name="OrdDCDLine">Coefficients!$C$9</definedName>
    <definedName name="OrdDiscount">Coefficients!$C$12</definedName>
    <definedName name="OrdINVLine">Coefficients!$C$7</definedName>
    <definedName name="OrdMBRLIne">Coefficients!$C$6</definedName>
    <definedName name="OrdMTGLine">Coefficients!$C$5</definedName>
    <definedName name="OrdRateStr">Coefficients!$C$10</definedName>
    <definedName name="OrdShipDet">Coefficients!$C$11</definedName>
    <definedName name="OrdSUBLine">Coefficients!$C$8</definedName>
    <definedName name="PectLoad">'Load Metrics'!$E$17</definedName>
  </definedNames>
  <calcPr calcId="145621"/>
</workbook>
</file>

<file path=xl/calcChain.xml><?xml version="1.0" encoding="utf-8"?>
<calcChain xmlns="http://schemas.openxmlformats.org/spreadsheetml/2006/main">
  <c r="J10" i="4" l="1"/>
  <c r="I11" i="4"/>
  <c r="I17" i="4"/>
  <c r="H18" i="4" s="1"/>
  <c r="I23" i="4"/>
  <c r="H24" i="4"/>
  <c r="R30" i="4"/>
  <c r="Q31" i="4" s="1"/>
  <c r="R44" i="4"/>
  <c r="Q45" i="4"/>
  <c r="O44" i="4"/>
  <c r="R29" i="4"/>
  <c r="O30" i="4"/>
  <c r="F23" i="4"/>
  <c r="F17" i="4"/>
  <c r="G10" i="4"/>
  <c r="N44" i="4"/>
  <c r="N37" i="4"/>
  <c r="O37" i="4" s="1"/>
  <c r="N30" i="4"/>
  <c r="E23" i="4"/>
  <c r="E17" i="4"/>
  <c r="F10" i="4"/>
  <c r="D10" i="4" l="1"/>
  <c r="D3" i="4"/>
  <c r="H10" i="4"/>
  <c r="C10" i="4"/>
  <c r="B10" i="4"/>
  <c r="I9" i="4"/>
  <c r="C23" i="4" l="1"/>
  <c r="C13" i="2"/>
  <c r="G23" i="4"/>
  <c r="B23" i="4"/>
  <c r="I22" i="4"/>
  <c r="H22" i="4"/>
  <c r="C44" i="4"/>
  <c r="C37" i="4"/>
  <c r="C30" i="4"/>
  <c r="C17" i="4"/>
  <c r="I45" i="4"/>
  <c r="P44" i="4"/>
  <c r="L44" i="4"/>
  <c r="K44" i="4"/>
  <c r="J44" i="4"/>
  <c r="B44" i="4"/>
  <c r="Q43" i="4"/>
  <c r="I43" i="4"/>
  <c r="L37" i="4"/>
  <c r="K37" i="4"/>
  <c r="J37" i="4"/>
  <c r="J30" i="4"/>
  <c r="K30" i="4"/>
  <c r="L30" i="4"/>
  <c r="B3" i="4"/>
  <c r="P30" i="4"/>
  <c r="P37" i="4"/>
  <c r="I31" i="4"/>
  <c r="R43" i="4" l="1"/>
  <c r="J9" i="4"/>
  <c r="I38" i="4"/>
  <c r="B37" i="4"/>
  <c r="R36" i="4"/>
  <c r="Q36" i="4"/>
  <c r="I36" i="4"/>
  <c r="I29" i="4"/>
  <c r="B30" i="4"/>
  <c r="Q29" i="4"/>
  <c r="G17" i="4"/>
  <c r="B17" i="4"/>
  <c r="I16" i="4"/>
  <c r="H16" i="4"/>
  <c r="E18" i="1"/>
  <c r="F18" i="1"/>
  <c r="G18" i="1"/>
  <c r="H18" i="1"/>
  <c r="D18" i="1"/>
  <c r="I16" i="1"/>
  <c r="L17" i="1"/>
  <c r="K17" i="1"/>
  <c r="C17" i="1"/>
  <c r="B17" i="1"/>
  <c r="O16" i="1"/>
  <c r="N16" i="1"/>
  <c r="G10" i="1"/>
  <c r="E10" i="1"/>
  <c r="B10" i="1"/>
  <c r="I9" i="1"/>
  <c r="H9" i="1"/>
  <c r="F10" i="1"/>
  <c r="C10" i="1"/>
  <c r="E44" i="4" l="1"/>
  <c r="D44" i="4"/>
  <c r="H44" i="4"/>
  <c r="G44" i="4"/>
  <c r="F44" i="4"/>
  <c r="F30" i="4"/>
  <c r="E30" i="4"/>
  <c r="D30" i="4"/>
  <c r="H30" i="4"/>
  <c r="G30" i="4"/>
  <c r="D37" i="4"/>
  <c r="E37" i="4"/>
  <c r="G37" i="4"/>
  <c r="F37" i="4"/>
  <c r="H37" i="4"/>
  <c r="I18" i="1"/>
  <c r="I17" i="1" s="1"/>
  <c r="O17" i="1" s="1"/>
  <c r="N18" i="1" s="1"/>
  <c r="I10" i="1"/>
  <c r="I11" i="1" s="1"/>
  <c r="I44" i="4" l="1"/>
  <c r="I30" i="4"/>
  <c r="I37" i="4"/>
  <c r="R37" i="4" s="1"/>
  <c r="Q38" i="4" s="1"/>
  <c r="O18" i="1"/>
  <c r="H11" i="1"/>
  <c r="E3" i="4" l="1"/>
  <c r="F3" i="4" s="1"/>
</calcChain>
</file>

<file path=xl/sharedStrings.xml><?xml version="1.0" encoding="utf-8"?>
<sst xmlns="http://schemas.openxmlformats.org/spreadsheetml/2006/main" count="196" uniqueCount="71">
  <si>
    <t>Base # CPU</t>
  </si>
  <si>
    <t>Base RAM (GB)</t>
  </si>
  <si>
    <t>RAM Required</t>
  </si>
  <si>
    <t>Create Customer</t>
  </si>
  <si>
    <t>Create Order</t>
  </si>
  <si>
    <t>Number of Customers In DB</t>
  </si>
  <si>
    <t>Base</t>
  </si>
  <si>
    <t>Percent Of Overall Load</t>
  </si>
  <si>
    <t xml:space="preserve">CPU Required </t>
  </si>
  <si>
    <t>Base Resource Requirement</t>
  </si>
  <si>
    <t>Customization</t>
  </si>
  <si>
    <t>Client</t>
  </si>
  <si>
    <t>Coefficient</t>
  </si>
  <si>
    <t>Expected Average of Max Transaction Time (Seconds)</t>
  </si>
  <si>
    <t>Required Transactions Per Hour</t>
  </si>
  <si>
    <t>Scenario 1</t>
  </si>
  <si>
    <t>Overall Performance Coofficient</t>
  </si>
  <si>
    <t>Scenario 2</t>
  </si>
  <si>
    <t>Number of Orders Per Customer</t>
  </si>
  <si>
    <t>Average Number of INV Products per Order</t>
  </si>
  <si>
    <t>Average Number of MBR Products per Order</t>
  </si>
  <si>
    <t>Average Number of MTG Products per Order</t>
  </si>
  <si>
    <t>Average Number of SUB Products per Order</t>
  </si>
  <si>
    <t>Average Number of DCD Products per Order</t>
  </si>
  <si>
    <t>Order Composition</t>
  </si>
  <si>
    <t>Scenario</t>
  </si>
  <si>
    <t>Scenario Detail</t>
  </si>
  <si>
    <t>Scenario Detail Value</t>
  </si>
  <si>
    <t>Scenario 3</t>
  </si>
  <si>
    <t>Client CPU</t>
  </si>
  <si>
    <t>Client RAM</t>
  </si>
  <si>
    <t>Values to be filled in by the customer</t>
  </si>
  <si>
    <t>Value</t>
  </si>
  <si>
    <t>Description</t>
  </si>
  <si>
    <t>NoCustomers</t>
  </si>
  <si>
    <t>AvgOrderPerCustomer</t>
  </si>
  <si>
    <t>OrdMTGLine</t>
  </si>
  <si>
    <t>OrdMBRLIne</t>
  </si>
  <si>
    <t>OrdINVLine</t>
  </si>
  <si>
    <t>OrdSUBLine</t>
  </si>
  <si>
    <t>OrdDCDLine</t>
  </si>
  <si>
    <t>Number Of Rate Structures</t>
  </si>
  <si>
    <t>Number of Discounts</t>
  </si>
  <si>
    <t>Number of Shipping records</t>
  </si>
  <si>
    <t>OrdRateStr</t>
  </si>
  <si>
    <t>OrdShipDet</t>
  </si>
  <si>
    <t>OrdDiscount</t>
  </si>
  <si>
    <t>Scenario 4</t>
  </si>
  <si>
    <t>Create MBR Order</t>
  </si>
  <si>
    <t>Create DCD Order</t>
  </si>
  <si>
    <t>Create Large MTG Order</t>
  </si>
  <si>
    <t>Scenario 5</t>
  </si>
  <si>
    <t>Online Store</t>
  </si>
  <si>
    <t>Number of Products In DB</t>
  </si>
  <si>
    <t>NoProducts</t>
  </si>
  <si>
    <t>Percent Of Overall Load Validation</t>
  </si>
  <si>
    <t xml:space="preserve">This number represents how number of records in the customer table affects overall performance of the system. </t>
  </si>
  <si>
    <t>This number represents how number of average orders per customer affects overall performance of the system</t>
  </si>
  <si>
    <t>This number represents how the number of defined rate structures in the system affects the performance of order creation process</t>
  </si>
  <si>
    <t>This number represents how the number of defined discounts in the system affects the performance of order creation process</t>
  </si>
  <si>
    <t>This number represents how the number of defined shipping records in the system affects the performance of order creation process</t>
  </si>
  <si>
    <t>This number represents how number of defined products affects performance of online store</t>
  </si>
  <si>
    <t>This number represents relative cost of adding an MTG line to the order in comparison to adding items from other subsystems</t>
  </si>
  <si>
    <t>This number represents relative cost of adding an MBR line to the order in comparison to adding items from other subsystems</t>
  </si>
  <si>
    <t>This number represents relative cost of adding an INV line to the order in comparison to adding items from other subsystems</t>
  </si>
  <si>
    <t>This number represents relative cost of adding an SUB line to the order in comparison to adding items from other subsystems</t>
  </si>
  <si>
    <t>This number represents relative cost of adding an DCD line to the order in comparison to adding items from other subsystems</t>
  </si>
  <si>
    <t>Example</t>
  </si>
  <si>
    <t>SSO/IMS</t>
  </si>
  <si>
    <t>Number of Web Users In DB</t>
  </si>
  <si>
    <t>Number of IMS Roles Defined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</si>
</sst>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/>
    <xf numFmtId="0" fontId="2" fillId="3" borderId="1" xfId="0" applyFont="1" applyFill="1" applyBorder="1" applyAlignment="1">
      <alignment vertical="top" wrapText="1"/>
    </xf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9" fontId="0" fillId="0" borderId="1" xfId="1" applyFont="1" applyBorder="1"/>
    <xf numFmtId="2" fontId="0" fillId="2" borderId="1" xfId="0" applyNumberFormat="1" applyFill="1" applyBorder="1"/>
    <xf numFmtId="9" fontId="0" fillId="2" borderId="1" xfId="1" applyFont="1" applyFill="1" applyBorder="1"/>
    <xf numFmtId="0" fontId="0" fillId="0" borderId="1" xfId="0" applyBorder="1" applyAlignment="1">
      <alignment vertical="top"/>
    </xf>
    <xf numFmtId="9" fontId="0" fillId="0" borderId="1" xfId="1" applyFont="1" applyBorder="1" applyAlignment="1">
      <alignment vertical="top"/>
    </xf>
    <xf numFmtId="9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/>
    <xf numFmtId="2" fontId="2" fillId="4" borderId="1" xfId="0" applyNumberFormat="1" applyFont="1" applyFill="1" applyBorder="1"/>
    <xf numFmtId="9" fontId="2" fillId="0" borderId="1" xfId="1" applyFont="1" applyBorder="1" applyAlignment="1">
      <alignment vertical="top"/>
    </xf>
    <xf numFmtId="3" fontId="0" fillId="5" borderId="1" xfId="0" applyNumberFormat="1" applyFill="1" applyBorder="1"/>
    <xf numFmtId="9" fontId="0" fillId="5" borderId="1" xfId="1" applyFont="1" applyFill="1" applyBorder="1"/>
    <xf numFmtId="9" fontId="0" fillId="0" borderId="1" xfId="1" applyFont="1" applyFill="1" applyBorder="1" applyAlignment="1">
      <alignment vertical="top"/>
    </xf>
    <xf numFmtId="3" fontId="0" fillId="0" borderId="1" xfId="0" applyNumberFormat="1" applyBorder="1" applyAlignment="1">
      <alignment wrapText="1"/>
    </xf>
    <xf numFmtId="9" fontId="0" fillId="0" borderId="1" xfId="1" applyFont="1" applyBorder="1" applyAlignment="1">
      <alignment vertical="top" wrapText="1"/>
    </xf>
    <xf numFmtId="9" fontId="0" fillId="0" borderId="1" xfId="1" applyNumberFormat="1" applyFont="1" applyBorder="1" applyAlignment="1">
      <alignment vertical="top"/>
    </xf>
    <xf numFmtId="9" fontId="0" fillId="2" borderId="1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/>
    </xf>
    <xf numFmtId="1" fontId="0" fillId="2" borderId="2" xfId="1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horizontal="center" vertical="top"/>
    </xf>
    <xf numFmtId="9" fontId="2" fillId="0" borderId="2" xfId="1" applyFont="1" applyFill="1" applyBorder="1" applyAlignment="1">
      <alignment horizontal="center"/>
    </xf>
    <xf numFmtId="9" fontId="0" fillId="0" borderId="2" xfId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9" fontId="0" fillId="0" borderId="0" xfId="1" applyFont="1"/>
    <xf numFmtId="9" fontId="1" fillId="0" borderId="2" xfId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9" fontId="0" fillId="0" borderId="0" xfId="1" applyFont="1" applyAlignment="1">
      <alignment vertical="top"/>
    </xf>
    <xf numFmtId="9" fontId="0" fillId="0" borderId="1" xfId="1" applyNumberFormat="1" applyFont="1" applyFill="1" applyBorder="1" applyAlignment="1">
      <alignment vertical="top"/>
    </xf>
    <xf numFmtId="3" fontId="4" fillId="5" borderId="3" xfId="0" applyNumberFormat="1" applyFont="1" applyFill="1" applyBorder="1" applyAlignment="1">
      <alignment horizontal="left"/>
    </xf>
    <xf numFmtId="3" fontId="4" fillId="5" borderId="0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6"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Table1" displayName="Table1" ref="B2:E13" totalsRowShown="0" dataDxfId="4">
  <autoFilter ref="B2:E13"/>
  <tableColumns count="4">
    <tableColumn id="1" name="Coefficient" dataDxfId="3"/>
    <tableColumn id="2" name="Value" dataDxfId="2"/>
    <tableColumn id="3" name="Description" dataDxfId="1"/>
    <tableColumn id="4" name="Exampl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"/>
  <sheetViews>
    <sheetView tabSelected="1" workbookViewId="0">
      <selection activeCell="M38" sqref="M38"/>
    </sheetView>
  </sheetViews>
  <sheetFormatPr defaultRowHeight="15" x14ac:dyDescent="0.25"/>
  <cols>
    <col min="1" max="1" width="20.42578125" bestFit="1" customWidth="1"/>
    <col min="2" max="3" width="15.5703125" bestFit="1" customWidth="1"/>
    <col min="4" max="4" width="14.7109375" customWidth="1"/>
    <col min="5" max="5" width="12" bestFit="1" customWidth="1"/>
    <col min="6" max="7" width="13.85546875" bestFit="1" customWidth="1"/>
    <col min="8" max="8" width="14.85546875" customWidth="1"/>
    <col min="9" max="9" width="13.140625" customWidth="1"/>
  </cols>
  <sheetData>
    <row r="2" spans="1:10" ht="45" x14ac:dyDescent="0.25">
      <c r="A2" s="23" t="s">
        <v>0</v>
      </c>
      <c r="B2" s="24" t="s">
        <v>1</v>
      </c>
      <c r="C2" s="30"/>
      <c r="D2" s="33" t="s">
        <v>55</v>
      </c>
      <c r="E2" s="34" t="s">
        <v>29</v>
      </c>
      <c r="F2" s="34" t="s">
        <v>30</v>
      </c>
    </row>
    <row r="3" spans="1:10" x14ac:dyDescent="0.25">
      <c r="A3" s="25">
        <v>4</v>
      </c>
      <c r="B3" s="26">
        <f>A3*1.1</f>
        <v>4.4000000000000004</v>
      </c>
      <c r="C3" s="31"/>
      <c r="D3" s="29">
        <f>F11+E18+N31+N38+N45+E24</f>
        <v>2.8</v>
      </c>
      <c r="E3" s="27">
        <f>(I11+H18+H24+Q45+Q31+Q38)</f>
        <v>16.700033670033669</v>
      </c>
      <c r="F3" s="28">
        <f>E3+E3/6</f>
        <v>19.483372615039279</v>
      </c>
    </row>
    <row r="5" spans="1:10" x14ac:dyDescent="0.25">
      <c r="A5" s="38" t="s">
        <v>31</v>
      </c>
      <c r="B5" s="39"/>
    </row>
    <row r="7" spans="1:10" ht="18.75" x14ac:dyDescent="0.3">
      <c r="A7" s="2" t="s">
        <v>68</v>
      </c>
    </row>
    <row r="8" spans="1:10" ht="90" x14ac:dyDescent="0.25">
      <c r="A8" s="3" t="s">
        <v>68</v>
      </c>
      <c r="B8" s="3" t="s">
        <v>14</v>
      </c>
      <c r="C8" s="3" t="s">
        <v>69</v>
      </c>
      <c r="D8" s="3" t="s">
        <v>70</v>
      </c>
      <c r="E8" s="3" t="s">
        <v>13</v>
      </c>
      <c r="F8" s="3" t="s">
        <v>7</v>
      </c>
      <c r="G8" s="3" t="s">
        <v>9</v>
      </c>
      <c r="H8" s="3" t="s">
        <v>10</v>
      </c>
      <c r="I8" s="3" t="s">
        <v>8</v>
      </c>
      <c r="J8" s="3" t="s">
        <v>2</v>
      </c>
    </row>
    <row r="9" spans="1:10" x14ac:dyDescent="0.25">
      <c r="A9" s="4" t="s">
        <v>6</v>
      </c>
      <c r="B9" s="5">
        <v>50000</v>
      </c>
      <c r="C9" s="5">
        <v>600000</v>
      </c>
      <c r="D9" s="5">
        <v>10</v>
      </c>
      <c r="E9" s="6">
        <v>2</v>
      </c>
      <c r="F9" s="7">
        <v>0.1</v>
      </c>
      <c r="G9" s="7">
        <v>0.25</v>
      </c>
      <c r="H9" s="7">
        <v>0</v>
      </c>
      <c r="I9" s="4">
        <f>$A$3*F9*G9*(1+H9)</f>
        <v>0.1</v>
      </c>
      <c r="J9" s="4">
        <f>$B$3*G9*F9</f>
        <v>0.11000000000000001</v>
      </c>
    </row>
    <row r="10" spans="1:10" ht="45" x14ac:dyDescent="0.25">
      <c r="A10" s="10" t="s">
        <v>12</v>
      </c>
      <c r="B10" s="11">
        <f>B11/B9-100%</f>
        <v>-0.5</v>
      </c>
      <c r="C10" s="11">
        <f>NoOfCustomers*(C11-C9)/C9</f>
        <v>3.3333333333333333E-2</v>
      </c>
      <c r="D10" s="11">
        <f>(D11-D9)/D9</f>
        <v>1</v>
      </c>
      <c r="E10" s="8"/>
      <c r="F10" s="12">
        <f>F9/F11</f>
        <v>2</v>
      </c>
      <c r="G10" s="37">
        <f>G9*F10</f>
        <v>0.5</v>
      </c>
      <c r="H10" s="19">
        <f>H11</f>
        <v>0</v>
      </c>
      <c r="I10" s="13" t="s">
        <v>16</v>
      </c>
      <c r="J10" s="16">
        <f>IF((B10+C10+H10+D10)*G10&lt;0,(B10+C10+H10+D10),(B10+C10+H10+D10)*G10)</f>
        <v>0.26666666666666666</v>
      </c>
    </row>
    <row r="11" spans="1:10" x14ac:dyDescent="0.25">
      <c r="A11" s="4" t="s">
        <v>11</v>
      </c>
      <c r="B11" s="17">
        <v>25000</v>
      </c>
      <c r="C11" s="17">
        <v>1000000</v>
      </c>
      <c r="D11" s="17">
        <v>20</v>
      </c>
      <c r="E11" s="8"/>
      <c r="F11" s="18">
        <v>0.05</v>
      </c>
      <c r="G11" s="9"/>
      <c r="H11" s="18">
        <v>0</v>
      </c>
      <c r="I11" s="15">
        <f>IF((I9+I9*J10)&lt;0.25,0.25,(I9+I9*J10))</f>
        <v>0.25</v>
      </c>
      <c r="J11" s="15"/>
    </row>
    <row r="14" spans="1:10" ht="18.75" x14ac:dyDescent="0.3">
      <c r="A14" s="2" t="s">
        <v>15</v>
      </c>
    </row>
    <row r="15" spans="1:10" ht="45" x14ac:dyDescent="0.25">
      <c r="A15" s="3" t="s">
        <v>3</v>
      </c>
      <c r="B15" s="3" t="s">
        <v>14</v>
      </c>
      <c r="C15" s="3" t="s">
        <v>5</v>
      </c>
      <c r="D15" s="3" t="s">
        <v>13</v>
      </c>
      <c r="E15" s="3" t="s">
        <v>7</v>
      </c>
      <c r="F15" s="3" t="s">
        <v>9</v>
      </c>
      <c r="G15" s="3" t="s">
        <v>10</v>
      </c>
      <c r="H15" s="3" t="s">
        <v>8</v>
      </c>
      <c r="I15" s="3" t="s">
        <v>2</v>
      </c>
    </row>
    <row r="16" spans="1:10" x14ac:dyDescent="0.25">
      <c r="A16" s="4" t="s">
        <v>6</v>
      </c>
      <c r="B16" s="5">
        <v>10000</v>
      </c>
      <c r="C16" s="5">
        <v>600000</v>
      </c>
      <c r="D16" s="6">
        <v>3</v>
      </c>
      <c r="E16" s="7">
        <v>1</v>
      </c>
      <c r="F16" s="7">
        <v>0.5</v>
      </c>
      <c r="G16" s="7">
        <v>0</v>
      </c>
      <c r="H16" s="4">
        <f>$A$3*E16*F16*(1+G16)</f>
        <v>2</v>
      </c>
      <c r="I16" s="4">
        <f>$B$3*F16*E16</f>
        <v>2.2000000000000002</v>
      </c>
    </row>
    <row r="17" spans="1:18" ht="45" x14ac:dyDescent="0.25">
      <c r="A17" s="10" t="s">
        <v>12</v>
      </c>
      <c r="B17" s="11">
        <f>B18/B16-100%</f>
        <v>0.5</v>
      </c>
      <c r="C17" s="11">
        <f>NoOfCustomers*(C18-C16)/C16</f>
        <v>3.3333333333333333E-2</v>
      </c>
      <c r="D17" s="8"/>
      <c r="E17" s="12">
        <f>E16/E18</f>
        <v>3.3333333333333335</v>
      </c>
      <c r="F17" s="37">
        <f>F16*E17</f>
        <v>1.6666666666666667</v>
      </c>
      <c r="G17" s="19">
        <f>G18</f>
        <v>0.25</v>
      </c>
      <c r="H17" s="13" t="s">
        <v>16</v>
      </c>
      <c r="I17" s="16">
        <f>IF((B17+C17+G17)*F17&lt;0,(B17+C17+G17),(B17+C17+G17)*F17)</f>
        <v>1.3055555555555556</v>
      </c>
    </row>
    <row r="18" spans="1:18" x14ac:dyDescent="0.25">
      <c r="A18" s="4" t="s">
        <v>11</v>
      </c>
      <c r="B18" s="17">
        <v>15000</v>
      </c>
      <c r="C18" s="17">
        <v>1000000</v>
      </c>
      <c r="D18" s="8"/>
      <c r="E18" s="18">
        <v>0.3</v>
      </c>
      <c r="F18" s="9"/>
      <c r="G18" s="18">
        <v>0.25</v>
      </c>
      <c r="H18" s="15">
        <f>IF((H16+H16*I17)&lt;0.25,0.25,(H16+H16*I17))</f>
        <v>4.6111111111111107</v>
      </c>
      <c r="I18" s="15"/>
    </row>
    <row r="20" spans="1:18" ht="18.75" x14ac:dyDescent="0.3">
      <c r="A20" s="2" t="s">
        <v>17</v>
      </c>
    </row>
    <row r="21" spans="1:18" ht="75" x14ac:dyDescent="0.25">
      <c r="A21" s="3" t="s">
        <v>52</v>
      </c>
      <c r="B21" s="3" t="s">
        <v>14</v>
      </c>
      <c r="C21" s="3" t="s">
        <v>53</v>
      </c>
      <c r="D21" s="3" t="s">
        <v>13</v>
      </c>
      <c r="E21" s="3" t="s">
        <v>7</v>
      </c>
      <c r="F21" s="3" t="s">
        <v>9</v>
      </c>
      <c r="G21" s="3" t="s">
        <v>10</v>
      </c>
      <c r="H21" s="3" t="s">
        <v>8</v>
      </c>
      <c r="I21" s="3" t="s">
        <v>2</v>
      </c>
    </row>
    <row r="22" spans="1:18" x14ac:dyDescent="0.25">
      <c r="A22" s="4" t="s">
        <v>6</v>
      </c>
      <c r="B22" s="5">
        <v>20000</v>
      </c>
      <c r="C22" s="5">
        <v>10000</v>
      </c>
      <c r="D22" s="6">
        <v>2</v>
      </c>
      <c r="E22" s="7">
        <v>1</v>
      </c>
      <c r="F22" s="7">
        <v>0.3</v>
      </c>
      <c r="G22" s="7">
        <v>0</v>
      </c>
      <c r="H22" s="4">
        <f>$A$3*E22*F22*(1+G22)</f>
        <v>1.2</v>
      </c>
      <c r="I22" s="4">
        <f>$B$3*F22*E22</f>
        <v>1.32</v>
      </c>
    </row>
    <row r="23" spans="1:18" ht="45" x14ac:dyDescent="0.25">
      <c r="A23" s="10" t="s">
        <v>12</v>
      </c>
      <c r="B23" s="11">
        <f>B24/B22-100%</f>
        <v>0.5</v>
      </c>
      <c r="C23" s="11">
        <f>NoProducts*(C24-C22)/C22</f>
        <v>-0.05</v>
      </c>
      <c r="D23" s="8"/>
      <c r="E23" s="12">
        <f>E22/E24</f>
        <v>3.3333333333333335</v>
      </c>
      <c r="F23" s="37">
        <f>F22*E23</f>
        <v>1</v>
      </c>
      <c r="G23" s="19">
        <f>G24</f>
        <v>0.25</v>
      </c>
      <c r="H23" s="13" t="s">
        <v>16</v>
      </c>
      <c r="I23" s="16">
        <f>IF((B23+C23+G23)*F23&lt;0,(B23+C23+G23),(B23+C23+G23)*F23)</f>
        <v>0.7</v>
      </c>
    </row>
    <row r="24" spans="1:18" x14ac:dyDescent="0.25">
      <c r="A24" s="4" t="s">
        <v>11</v>
      </c>
      <c r="B24" s="17">
        <v>30000</v>
      </c>
      <c r="C24" s="17">
        <v>5000</v>
      </c>
      <c r="D24" s="8"/>
      <c r="E24" s="18">
        <v>0.3</v>
      </c>
      <c r="F24" s="9"/>
      <c r="G24" s="18">
        <v>0.25</v>
      </c>
      <c r="H24" s="15">
        <f>IF((H22+H22*I23)&lt;0.25,0.25,(H22+H22*I23))</f>
        <v>2.04</v>
      </c>
      <c r="I24" s="15"/>
    </row>
    <row r="27" spans="1:18" ht="18.75" x14ac:dyDescent="0.3">
      <c r="A27" s="2" t="s">
        <v>28</v>
      </c>
    </row>
    <row r="28" spans="1:18" ht="105" x14ac:dyDescent="0.25">
      <c r="A28" s="3" t="s">
        <v>48</v>
      </c>
      <c r="B28" s="3" t="s">
        <v>14</v>
      </c>
      <c r="C28" s="3" t="s">
        <v>18</v>
      </c>
      <c r="D28" s="3" t="s">
        <v>19</v>
      </c>
      <c r="E28" s="3" t="s">
        <v>20</v>
      </c>
      <c r="F28" s="3" t="s">
        <v>21</v>
      </c>
      <c r="G28" s="3" t="s">
        <v>22</v>
      </c>
      <c r="H28" s="3" t="s">
        <v>23</v>
      </c>
      <c r="I28" s="3" t="s">
        <v>24</v>
      </c>
      <c r="J28" s="3" t="s">
        <v>41</v>
      </c>
      <c r="K28" s="3" t="s">
        <v>42</v>
      </c>
      <c r="L28" s="3" t="s">
        <v>43</v>
      </c>
      <c r="M28" s="3" t="s">
        <v>13</v>
      </c>
      <c r="N28" s="3" t="s">
        <v>7</v>
      </c>
      <c r="O28" s="3" t="s">
        <v>9</v>
      </c>
      <c r="P28" s="3" t="s">
        <v>10</v>
      </c>
      <c r="Q28" s="3" t="s">
        <v>8</v>
      </c>
      <c r="R28" s="3" t="s">
        <v>2</v>
      </c>
    </row>
    <row r="29" spans="1:18" x14ac:dyDescent="0.25">
      <c r="A29" s="4" t="s">
        <v>6</v>
      </c>
      <c r="B29" s="5">
        <v>1000</v>
      </c>
      <c r="C29" s="5">
        <v>3</v>
      </c>
      <c r="D29" s="5">
        <v>2</v>
      </c>
      <c r="E29" s="5">
        <v>1</v>
      </c>
      <c r="F29" s="5">
        <v>1</v>
      </c>
      <c r="G29" s="5">
        <v>1</v>
      </c>
      <c r="H29" s="5">
        <v>0</v>
      </c>
      <c r="I29" s="5">
        <f>SUM(D29:H29)</f>
        <v>5</v>
      </c>
      <c r="J29" s="5">
        <v>12</v>
      </c>
      <c r="K29" s="5">
        <v>55</v>
      </c>
      <c r="L29" s="5">
        <v>160</v>
      </c>
      <c r="M29" s="6">
        <v>5</v>
      </c>
      <c r="N29" s="7">
        <v>1</v>
      </c>
      <c r="O29" s="7">
        <v>1</v>
      </c>
      <c r="P29" s="7">
        <v>0</v>
      </c>
      <c r="Q29" s="4">
        <f>$A$3*N29*O29*(1+P29)</f>
        <v>4</v>
      </c>
      <c r="R29" s="4">
        <f>$B$3*O29*N29</f>
        <v>4.4000000000000004</v>
      </c>
    </row>
    <row r="30" spans="1:18" ht="75" x14ac:dyDescent="0.25">
      <c r="A30" s="10" t="s">
        <v>12</v>
      </c>
      <c r="B30" s="11">
        <f>B31/B29-100%</f>
        <v>-0.75</v>
      </c>
      <c r="C30" s="11">
        <f>AvgOrderPerCustomer*(C31-C29)/C29</f>
        <v>1.6666666666666666E-2</v>
      </c>
      <c r="D30" s="11">
        <f>(D31-D29)/$I$29*[0]!OrdINVLine</f>
        <v>-0.4</v>
      </c>
      <c r="E30" s="11">
        <f>(E31-E29)/$I$29*[0]!OrdMBRLIne</f>
        <v>0.22999999999999998</v>
      </c>
      <c r="F30" s="11">
        <f>(F31-F29)/$I$29*OrdMTGLine</f>
        <v>0.22000000000000003</v>
      </c>
      <c r="G30" s="11">
        <f>(G31-G29)/$I$29*OrdSUBLine</f>
        <v>1</v>
      </c>
      <c r="H30" s="11">
        <f>(H31-H29)/$I$29*OrdDCDLine</f>
        <v>0</v>
      </c>
      <c r="I30" s="22">
        <f>D30+E30+F30+G30+H30+J30+K30+L30</f>
        <v>1.05</v>
      </c>
      <c r="J30" s="22">
        <f>(J31-J29)/J29*OrdRateStr</f>
        <v>0</v>
      </c>
      <c r="K30" s="22">
        <f>(K31-K29)/K29*OrdDiscount</f>
        <v>0</v>
      </c>
      <c r="L30" s="22">
        <f>(L31-L29)/L29*OrdShipDet</f>
        <v>0</v>
      </c>
      <c r="M30" s="8"/>
      <c r="N30" s="12">
        <f>N29/N31</f>
        <v>1.1111111111111112</v>
      </c>
      <c r="O30" s="37">
        <f>O29*N30</f>
        <v>1.1111111111111112</v>
      </c>
      <c r="P30" s="19">
        <f>P31</f>
        <v>0</v>
      </c>
      <c r="Q30" s="13" t="s">
        <v>16</v>
      </c>
      <c r="R30" s="16">
        <f>IF((B30+C30+P30+I30)&lt;0,(B30+C30+P30+I30),(B30+C30+P30+I30)*O30)</f>
        <v>0.35185185185185197</v>
      </c>
    </row>
    <row r="31" spans="1:18" x14ac:dyDescent="0.25">
      <c r="A31" s="4" t="s">
        <v>11</v>
      </c>
      <c r="B31" s="17">
        <v>250</v>
      </c>
      <c r="C31" s="17">
        <v>4</v>
      </c>
      <c r="D31" s="17">
        <v>0</v>
      </c>
      <c r="E31" s="17">
        <v>2</v>
      </c>
      <c r="F31" s="17">
        <v>2</v>
      </c>
      <c r="G31" s="17">
        <v>6</v>
      </c>
      <c r="H31" s="17">
        <v>0</v>
      </c>
      <c r="I31" s="5">
        <f>SUM(D31:H31)</f>
        <v>10</v>
      </c>
      <c r="J31" s="17">
        <v>12</v>
      </c>
      <c r="K31" s="17">
        <v>55</v>
      </c>
      <c r="L31" s="17">
        <v>160</v>
      </c>
      <c r="M31" s="8"/>
      <c r="N31" s="18">
        <v>0.9</v>
      </c>
      <c r="O31" s="9"/>
      <c r="P31" s="18">
        <v>0</v>
      </c>
      <c r="Q31" s="15">
        <f>IF((Q29+Q29*R30)&lt;0.25,0.25,(Q29+Q29*R30))</f>
        <v>5.4074074074074083</v>
      </c>
      <c r="R31" s="15"/>
    </row>
    <row r="34" spans="1:18" ht="18.75" x14ac:dyDescent="0.3">
      <c r="A34" s="2" t="s">
        <v>47</v>
      </c>
    </row>
    <row r="35" spans="1:18" ht="105" x14ac:dyDescent="0.25">
      <c r="A35" s="3" t="s">
        <v>49</v>
      </c>
      <c r="B35" s="3" t="s">
        <v>14</v>
      </c>
      <c r="C35" s="3" t="s">
        <v>18</v>
      </c>
      <c r="D35" s="3" t="s">
        <v>19</v>
      </c>
      <c r="E35" s="3" t="s">
        <v>20</v>
      </c>
      <c r="F35" s="3" t="s">
        <v>21</v>
      </c>
      <c r="G35" s="3" t="s">
        <v>22</v>
      </c>
      <c r="H35" s="3" t="s">
        <v>23</v>
      </c>
      <c r="I35" s="3" t="s">
        <v>24</v>
      </c>
      <c r="J35" s="3" t="s">
        <v>41</v>
      </c>
      <c r="K35" s="3" t="s">
        <v>42</v>
      </c>
      <c r="L35" s="3" t="s">
        <v>43</v>
      </c>
      <c r="M35" s="3" t="s">
        <v>13</v>
      </c>
      <c r="N35" s="3" t="s">
        <v>7</v>
      </c>
      <c r="O35" s="3" t="s">
        <v>9</v>
      </c>
      <c r="P35" s="3" t="s">
        <v>10</v>
      </c>
      <c r="Q35" s="3" t="s">
        <v>8</v>
      </c>
      <c r="R35" s="3" t="s">
        <v>2</v>
      </c>
    </row>
    <row r="36" spans="1:18" x14ac:dyDescent="0.25">
      <c r="A36" s="4" t="s">
        <v>6</v>
      </c>
      <c r="B36" s="5">
        <v>1100</v>
      </c>
      <c r="C36" s="5">
        <v>3</v>
      </c>
      <c r="D36" s="5">
        <v>10</v>
      </c>
      <c r="E36" s="5">
        <v>0</v>
      </c>
      <c r="F36" s="5">
        <v>0</v>
      </c>
      <c r="G36" s="5">
        <v>0</v>
      </c>
      <c r="H36" s="5">
        <v>10</v>
      </c>
      <c r="I36" s="5">
        <f>SUM(D36:H36)</f>
        <v>20</v>
      </c>
      <c r="J36" s="5">
        <v>12</v>
      </c>
      <c r="K36" s="5">
        <v>55</v>
      </c>
      <c r="L36" s="5">
        <v>160</v>
      </c>
      <c r="M36" s="6">
        <v>22</v>
      </c>
      <c r="N36" s="7">
        <v>1</v>
      </c>
      <c r="O36" s="7">
        <v>1</v>
      </c>
      <c r="P36" s="7">
        <v>0</v>
      </c>
      <c r="Q36" s="4">
        <f>$A$3*N36*O36*(1+P36)</f>
        <v>4</v>
      </c>
      <c r="R36" s="4">
        <f>$B$3*O36*N36</f>
        <v>4.4000000000000004</v>
      </c>
    </row>
    <row r="37" spans="1:18" ht="75" x14ac:dyDescent="0.25">
      <c r="A37" s="10" t="s">
        <v>12</v>
      </c>
      <c r="B37" s="11">
        <f>B38/B36-100%</f>
        <v>0</v>
      </c>
      <c r="C37" s="11">
        <f>AvgOrderPerCustomer*(C38-C36)/C36</f>
        <v>0</v>
      </c>
      <c r="D37" s="11">
        <f>(D38-D36)/$I$36*OrdINVLine</f>
        <v>0</v>
      </c>
      <c r="E37" s="11">
        <f>(E38-E36)/$I$36*OrdMBRLIne</f>
        <v>0</v>
      </c>
      <c r="F37" s="11">
        <f>(F38-F36)/$I$36*OrdMTGLine</f>
        <v>0</v>
      </c>
      <c r="G37" s="11">
        <f>(G38-G36)/$I$36*OrdSUBLine</f>
        <v>0</v>
      </c>
      <c r="H37" s="11">
        <f>(H38-H36)/$I$36*OrdDCDLine</f>
        <v>0</v>
      </c>
      <c r="I37" s="22">
        <f>D37+E37+F37+G37+H37+J37+K37+L37</f>
        <v>0</v>
      </c>
      <c r="J37" s="22">
        <f>(J38-J36)/J36*OrdRateStr</f>
        <v>0</v>
      </c>
      <c r="K37" s="22">
        <f>(K38-K36)/K36*OrdDiscount</f>
        <v>0</v>
      </c>
      <c r="L37" s="22">
        <f>(L38-L36)/L36*OrdShipDet</f>
        <v>0</v>
      </c>
      <c r="M37" s="8"/>
      <c r="N37" s="12">
        <f>N36/N38</f>
        <v>2</v>
      </c>
      <c r="O37" s="37">
        <f>O36*N37</f>
        <v>2</v>
      </c>
      <c r="P37" s="19">
        <f>P38</f>
        <v>0</v>
      </c>
      <c r="Q37" s="13" t="s">
        <v>16</v>
      </c>
      <c r="R37" s="16">
        <f>IF((B37+C37+P37+I37)&lt;0,(B37+C37+P37+I37),(B37+C37+P37+I37)*O37)</f>
        <v>0</v>
      </c>
    </row>
    <row r="38" spans="1:18" x14ac:dyDescent="0.25">
      <c r="A38" s="4" t="s">
        <v>11</v>
      </c>
      <c r="B38" s="17">
        <v>1100</v>
      </c>
      <c r="C38" s="17">
        <v>3</v>
      </c>
      <c r="D38" s="17">
        <v>10</v>
      </c>
      <c r="E38" s="17">
        <v>0</v>
      </c>
      <c r="F38" s="17">
        <v>0</v>
      </c>
      <c r="G38" s="17">
        <v>0</v>
      </c>
      <c r="H38" s="17">
        <v>10</v>
      </c>
      <c r="I38" s="5">
        <f>SUM(D38:H38)</f>
        <v>20</v>
      </c>
      <c r="J38" s="17">
        <v>12</v>
      </c>
      <c r="K38" s="17">
        <v>55</v>
      </c>
      <c r="L38" s="17">
        <v>160</v>
      </c>
      <c r="M38" s="8"/>
      <c r="N38" s="18">
        <v>0.5</v>
      </c>
      <c r="O38" s="9"/>
      <c r="P38" s="18">
        <v>0</v>
      </c>
      <c r="Q38" s="15">
        <f>IF((Q36+Q36*R37)&lt;0.25,0.25,(Q36+Q36*R37))</f>
        <v>4</v>
      </c>
      <c r="R38" s="15"/>
    </row>
    <row r="41" spans="1:18" ht="18.75" x14ac:dyDescent="0.3">
      <c r="A41" s="2" t="s">
        <v>51</v>
      </c>
    </row>
    <row r="42" spans="1:18" ht="105" x14ac:dyDescent="0.25">
      <c r="A42" s="3" t="s">
        <v>50</v>
      </c>
      <c r="B42" s="3" t="s">
        <v>14</v>
      </c>
      <c r="C42" s="3" t="s">
        <v>18</v>
      </c>
      <c r="D42" s="3" t="s">
        <v>19</v>
      </c>
      <c r="E42" s="3" t="s">
        <v>20</v>
      </c>
      <c r="F42" s="3" t="s">
        <v>21</v>
      </c>
      <c r="G42" s="3" t="s">
        <v>22</v>
      </c>
      <c r="H42" s="3" t="s">
        <v>23</v>
      </c>
      <c r="I42" s="3" t="s">
        <v>24</v>
      </c>
      <c r="J42" s="3" t="s">
        <v>41</v>
      </c>
      <c r="K42" s="3" t="s">
        <v>42</v>
      </c>
      <c r="L42" s="3" t="s">
        <v>43</v>
      </c>
      <c r="M42" s="3" t="s">
        <v>13</v>
      </c>
      <c r="N42" s="3" t="s">
        <v>7</v>
      </c>
      <c r="O42" s="3" t="s">
        <v>9</v>
      </c>
      <c r="P42" s="3" t="s">
        <v>10</v>
      </c>
      <c r="Q42" s="3" t="s">
        <v>8</v>
      </c>
      <c r="R42" s="3" t="s">
        <v>2</v>
      </c>
    </row>
    <row r="43" spans="1:18" x14ac:dyDescent="0.25">
      <c r="A43" s="4" t="s">
        <v>6</v>
      </c>
      <c r="B43" s="5">
        <v>1100</v>
      </c>
      <c r="C43" s="5">
        <v>3</v>
      </c>
      <c r="D43" s="5">
        <v>0</v>
      </c>
      <c r="E43" s="5">
        <v>0</v>
      </c>
      <c r="F43" s="5">
        <v>15</v>
      </c>
      <c r="G43" s="5">
        <v>0</v>
      </c>
      <c r="H43" s="5">
        <v>0</v>
      </c>
      <c r="I43" s="5">
        <f>SUM(D43:H43)</f>
        <v>15</v>
      </c>
      <c r="J43" s="5">
        <v>12</v>
      </c>
      <c r="K43" s="5">
        <v>55</v>
      </c>
      <c r="L43" s="5">
        <v>160</v>
      </c>
      <c r="M43" s="6">
        <v>22</v>
      </c>
      <c r="N43" s="7">
        <v>1</v>
      </c>
      <c r="O43" s="7">
        <v>1</v>
      </c>
      <c r="P43" s="7">
        <v>0</v>
      </c>
      <c r="Q43" s="4">
        <f>$A$3*N43*O43*(1+P43)</f>
        <v>4</v>
      </c>
      <c r="R43" s="4">
        <f>$B$3*O43*N43</f>
        <v>4.4000000000000004</v>
      </c>
    </row>
    <row r="44" spans="1:18" ht="75" x14ac:dyDescent="0.25">
      <c r="A44" s="10" t="s">
        <v>12</v>
      </c>
      <c r="B44" s="11">
        <f>B45/B43-100%</f>
        <v>-0.77272727272727271</v>
      </c>
      <c r="C44" s="11">
        <f>AvgOrderPerCustomer*(C45-C43)/C43</f>
        <v>-1.6666666666666666E-2</v>
      </c>
      <c r="D44" s="11">
        <f>(D45-D43)/$I$36*OrdINVLine</f>
        <v>0.05</v>
      </c>
      <c r="E44" s="11">
        <f>(E45-E43)/$I$36*OrdMBRLIne</f>
        <v>0</v>
      </c>
      <c r="F44" s="11">
        <f>(F45-F43)/$I$36*OrdMTGLine</f>
        <v>-0.16500000000000001</v>
      </c>
      <c r="G44" s="11">
        <f>(G45-G43)/$I$36*OrdSUBLine</f>
        <v>0.1</v>
      </c>
      <c r="H44" s="11">
        <f>(H45-H43)/$I$36*OrdDCDLine</f>
        <v>0</v>
      </c>
      <c r="I44" s="22">
        <f>D44+E44+F44+G44+H44+J44+K44+L44</f>
        <v>-0.36272727272727279</v>
      </c>
      <c r="J44" s="22">
        <f>(J45-J43)/J43*OrdRateStr</f>
        <v>-0.19999999999999998</v>
      </c>
      <c r="K44" s="22">
        <f>(K45-K43)/K43*OrdDiscount</f>
        <v>1.2272727272727273</v>
      </c>
      <c r="L44" s="22">
        <f>(L45-L43)/L43*OrdShipDet</f>
        <v>-1.375</v>
      </c>
      <c r="M44" s="8"/>
      <c r="N44" s="12">
        <f>N43/N45</f>
        <v>1.3333333333333333</v>
      </c>
      <c r="O44" s="37">
        <f>O43*N44</f>
        <v>1.3333333333333333</v>
      </c>
      <c r="P44" s="19">
        <f>P45</f>
        <v>0.25</v>
      </c>
      <c r="Q44" s="13" t="s">
        <v>16</v>
      </c>
      <c r="R44" s="16">
        <f>IF((B44+C44+P44+I44)&lt;0,(B44+C44+P44+I44),(B44+C44+P44+I44)*O44)</f>
        <v>-0.90212121212121221</v>
      </c>
    </row>
    <row r="45" spans="1:18" x14ac:dyDescent="0.25">
      <c r="A45" s="4" t="s">
        <v>11</v>
      </c>
      <c r="B45" s="17">
        <v>250</v>
      </c>
      <c r="C45" s="17">
        <v>2</v>
      </c>
      <c r="D45" s="17">
        <v>1</v>
      </c>
      <c r="E45" s="17">
        <v>0</v>
      </c>
      <c r="F45" s="17">
        <v>12</v>
      </c>
      <c r="G45" s="17">
        <v>2</v>
      </c>
      <c r="H45" s="17">
        <v>0</v>
      </c>
      <c r="I45" s="5">
        <f>SUM(D45:H45)</f>
        <v>15</v>
      </c>
      <c r="J45" s="17">
        <v>10</v>
      </c>
      <c r="K45" s="17">
        <v>100</v>
      </c>
      <c r="L45" s="17">
        <v>50</v>
      </c>
      <c r="M45" s="8"/>
      <c r="N45" s="18">
        <v>0.75</v>
      </c>
      <c r="O45" s="9"/>
      <c r="P45" s="18">
        <v>0.25</v>
      </c>
      <c r="Q45" s="15">
        <f>IF((Q43+Q43*R44)&lt;0.25,0.25,(Q43+Q43*R44))</f>
        <v>0.39151515151515115</v>
      </c>
      <c r="R45" s="15"/>
    </row>
  </sheetData>
  <mergeCells count="1">
    <mergeCell ref="A5:B5"/>
  </mergeCells>
  <conditionalFormatting sqref="D3">
    <cfRule type="cellIs" dxfId="5" priority="1" operator="notEqual">
      <formula>100%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C13" sqref="C13"/>
    </sheetView>
  </sheetViews>
  <sheetFormatPr defaultRowHeight="15" x14ac:dyDescent="0.25"/>
  <cols>
    <col min="2" max="2" width="21.42578125" bestFit="1" customWidth="1"/>
    <col min="4" max="4" width="51.7109375" customWidth="1"/>
    <col min="5" max="5" width="22.42578125" customWidth="1"/>
  </cols>
  <sheetData>
    <row r="2" spans="2:5" x14ac:dyDescent="0.25">
      <c r="B2" s="10" t="s">
        <v>12</v>
      </c>
      <c r="C2" s="32" t="s">
        <v>32</v>
      </c>
      <c r="D2" t="s">
        <v>33</v>
      </c>
      <c r="E2" t="s">
        <v>67</v>
      </c>
    </row>
    <row r="3" spans="2:5" ht="45" x14ac:dyDescent="0.25">
      <c r="B3" s="35" t="s">
        <v>34</v>
      </c>
      <c r="C3" s="36">
        <v>0.05</v>
      </c>
      <c r="D3" s="1" t="s">
        <v>56</v>
      </c>
      <c r="E3" s="35"/>
    </row>
    <row r="4" spans="2:5" ht="30" x14ac:dyDescent="0.25">
      <c r="B4" s="35" t="s">
        <v>35</v>
      </c>
      <c r="C4" s="36">
        <v>0.05</v>
      </c>
      <c r="D4" s="1" t="s">
        <v>57</v>
      </c>
      <c r="E4" s="35"/>
    </row>
    <row r="5" spans="2:5" ht="45" x14ac:dyDescent="0.25">
      <c r="B5" s="35" t="s">
        <v>36</v>
      </c>
      <c r="C5" s="36">
        <v>1.1000000000000001</v>
      </c>
      <c r="D5" s="1" t="s">
        <v>62</v>
      </c>
      <c r="E5" s="35"/>
    </row>
    <row r="6" spans="2:5" ht="45" x14ac:dyDescent="0.25">
      <c r="B6" s="35" t="s">
        <v>37</v>
      </c>
      <c r="C6" s="36">
        <v>1.1499999999999999</v>
      </c>
      <c r="D6" s="1" t="s">
        <v>63</v>
      </c>
      <c r="E6" s="35"/>
    </row>
    <row r="7" spans="2:5" ht="45" x14ac:dyDescent="0.25">
      <c r="B7" s="35" t="s">
        <v>38</v>
      </c>
      <c r="C7" s="36">
        <v>1</v>
      </c>
      <c r="D7" s="1" t="s">
        <v>64</v>
      </c>
      <c r="E7" s="35"/>
    </row>
    <row r="8" spans="2:5" ht="45" x14ac:dyDescent="0.25">
      <c r="B8" s="35" t="s">
        <v>39</v>
      </c>
      <c r="C8" s="36">
        <v>1</v>
      </c>
      <c r="D8" s="1" t="s">
        <v>65</v>
      </c>
      <c r="E8" s="35"/>
    </row>
    <row r="9" spans="2:5" ht="45" x14ac:dyDescent="0.25">
      <c r="B9" s="35" t="s">
        <v>40</v>
      </c>
      <c r="C9" s="36">
        <v>0.9</v>
      </c>
      <c r="D9" s="1" t="s">
        <v>66</v>
      </c>
      <c r="E9" s="35"/>
    </row>
    <row r="10" spans="2:5" ht="45" x14ac:dyDescent="0.25">
      <c r="B10" s="35" t="s">
        <v>44</v>
      </c>
      <c r="C10" s="36">
        <v>1.2</v>
      </c>
      <c r="D10" s="1" t="s">
        <v>58</v>
      </c>
      <c r="E10" s="35"/>
    </row>
    <row r="11" spans="2:5" ht="45" x14ac:dyDescent="0.25">
      <c r="B11" s="35" t="s">
        <v>45</v>
      </c>
      <c r="C11" s="36">
        <v>2</v>
      </c>
      <c r="D11" s="1" t="s">
        <v>60</v>
      </c>
      <c r="E11" s="35"/>
    </row>
    <row r="12" spans="2:5" ht="45" x14ac:dyDescent="0.25">
      <c r="B12" s="35" t="s">
        <v>46</v>
      </c>
      <c r="C12" s="36">
        <v>1.5</v>
      </c>
      <c r="D12" s="1" t="s">
        <v>59</v>
      </c>
      <c r="E12" s="35"/>
    </row>
    <row r="13" spans="2:5" ht="30" x14ac:dyDescent="0.25">
      <c r="B13" s="35" t="s">
        <v>54</v>
      </c>
      <c r="C13" s="36">
        <f>10%</f>
        <v>0.1</v>
      </c>
      <c r="D13" s="1" t="s">
        <v>61</v>
      </c>
      <c r="E13" s="35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4" workbookViewId="0">
      <selection activeCell="E17" sqref="E17"/>
    </sheetView>
  </sheetViews>
  <sheetFormatPr defaultRowHeight="15" x14ac:dyDescent="0.25"/>
  <cols>
    <col min="1" max="1" width="29.140625" customWidth="1"/>
    <col min="2" max="2" width="23" customWidth="1"/>
    <col min="3" max="3" width="15.5703125" bestFit="1" customWidth="1"/>
    <col min="4" max="4" width="20.42578125" bestFit="1" customWidth="1"/>
    <col min="5" max="5" width="12" bestFit="1" customWidth="1"/>
    <col min="6" max="7" width="13.85546875" bestFit="1" customWidth="1"/>
    <col min="8" max="8" width="14.85546875" customWidth="1"/>
    <col min="9" max="9" width="13.140625" customWidth="1"/>
  </cols>
  <sheetData>
    <row r="1" spans="1:15" x14ac:dyDescent="0.25">
      <c r="A1" t="s">
        <v>0</v>
      </c>
      <c r="B1" t="s">
        <v>1</v>
      </c>
    </row>
    <row r="2" spans="1:15" x14ac:dyDescent="0.25">
      <c r="A2">
        <v>4</v>
      </c>
      <c r="B2">
        <v>4</v>
      </c>
    </row>
    <row r="7" spans="1:15" ht="18.75" x14ac:dyDescent="0.3">
      <c r="A7" s="2" t="s">
        <v>15</v>
      </c>
    </row>
    <row r="8" spans="1:15" ht="45" x14ac:dyDescent="0.25">
      <c r="A8" s="3" t="s">
        <v>3</v>
      </c>
      <c r="B8" s="3" t="s">
        <v>14</v>
      </c>
      <c r="C8" s="3" t="s">
        <v>5</v>
      </c>
      <c r="D8" s="3" t="s">
        <v>13</v>
      </c>
      <c r="E8" s="3" t="s">
        <v>7</v>
      </c>
      <c r="F8" s="3" t="s">
        <v>9</v>
      </c>
      <c r="G8" s="3" t="s">
        <v>10</v>
      </c>
      <c r="H8" s="3" t="s">
        <v>8</v>
      </c>
      <c r="I8" s="3" t="s">
        <v>2</v>
      </c>
    </row>
    <row r="9" spans="1:15" x14ac:dyDescent="0.25">
      <c r="A9" s="4" t="s">
        <v>6</v>
      </c>
      <c r="B9" s="5">
        <v>10000</v>
      </c>
      <c r="C9" s="5">
        <v>600000</v>
      </c>
      <c r="D9" s="6">
        <v>3</v>
      </c>
      <c r="E9" s="7">
        <v>1</v>
      </c>
      <c r="F9" s="7">
        <v>0.5</v>
      </c>
      <c r="G9" s="7">
        <v>0</v>
      </c>
      <c r="H9" s="4">
        <f>$A$2*E9*F9*(1+G9)</f>
        <v>2</v>
      </c>
      <c r="I9" s="4">
        <f>$B$2*F9*E9</f>
        <v>2</v>
      </c>
    </row>
    <row r="10" spans="1:15" ht="45" x14ac:dyDescent="0.25">
      <c r="A10" s="10" t="s">
        <v>12</v>
      </c>
      <c r="B10" s="11">
        <f>B11/B9-100%</f>
        <v>0.5</v>
      </c>
      <c r="C10" s="11">
        <f>5%*C11/C9</f>
        <v>8.3333333333333329E-2</v>
      </c>
      <c r="D10" s="8"/>
      <c r="E10" s="12">
        <f>E11</f>
        <v>1</v>
      </c>
      <c r="F10" s="19">
        <f>F9</f>
        <v>0.5</v>
      </c>
      <c r="G10" s="19">
        <f>G11</f>
        <v>0.25</v>
      </c>
      <c r="H10" s="13" t="s">
        <v>16</v>
      </c>
      <c r="I10" s="16">
        <f>(B10+C10+G10)*E10*F10</f>
        <v>0.41666666666666669</v>
      </c>
    </row>
    <row r="11" spans="1:15" x14ac:dyDescent="0.25">
      <c r="A11" s="4" t="s">
        <v>11</v>
      </c>
      <c r="B11" s="17">
        <v>15000</v>
      </c>
      <c r="C11" s="17">
        <v>1000000</v>
      </c>
      <c r="D11" s="8"/>
      <c r="E11" s="18">
        <v>1</v>
      </c>
      <c r="F11" s="9"/>
      <c r="G11" s="18">
        <v>0.25</v>
      </c>
      <c r="H11" s="14">
        <f>H9+H9*I10</f>
        <v>2.8333333333333335</v>
      </c>
      <c r="I11" s="15">
        <f>I9+I9*I10</f>
        <v>2.8333333333333335</v>
      </c>
    </row>
    <row r="14" spans="1:15" ht="18.75" x14ac:dyDescent="0.3">
      <c r="A14" s="2" t="s">
        <v>17</v>
      </c>
    </row>
    <row r="15" spans="1:15" ht="105" x14ac:dyDescent="0.25">
      <c r="A15" s="3" t="s">
        <v>4</v>
      </c>
      <c r="B15" s="3" t="s">
        <v>14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3" t="s">
        <v>24</v>
      </c>
      <c r="J15" s="3" t="s">
        <v>13</v>
      </c>
      <c r="K15" s="3" t="s">
        <v>7</v>
      </c>
      <c r="L15" s="3" t="s">
        <v>9</v>
      </c>
      <c r="M15" s="3" t="s">
        <v>10</v>
      </c>
      <c r="N15" s="3" t="s">
        <v>8</v>
      </c>
      <c r="O15" s="3" t="s">
        <v>2</v>
      </c>
    </row>
    <row r="16" spans="1:15" x14ac:dyDescent="0.25">
      <c r="A16" s="4" t="s">
        <v>6</v>
      </c>
      <c r="B16" s="5">
        <v>1000</v>
      </c>
      <c r="C16" s="5">
        <v>3</v>
      </c>
      <c r="D16" s="5">
        <v>2</v>
      </c>
      <c r="E16" s="5">
        <v>1</v>
      </c>
      <c r="F16" s="5">
        <v>1</v>
      </c>
      <c r="G16" s="5">
        <v>1</v>
      </c>
      <c r="H16" s="5">
        <v>0</v>
      </c>
      <c r="I16" s="5">
        <f>SUM(C16:H16)</f>
        <v>8</v>
      </c>
      <c r="J16" s="6">
        <v>5</v>
      </c>
      <c r="K16" s="7">
        <v>1</v>
      </c>
      <c r="L16" s="7">
        <v>1</v>
      </c>
      <c r="M16" s="7">
        <v>0</v>
      </c>
      <c r="N16" s="4">
        <f>$A$2*K16*L16*(1+M16)</f>
        <v>4</v>
      </c>
      <c r="O16" s="4">
        <f>$B$2*L16*K16</f>
        <v>4</v>
      </c>
    </row>
    <row r="17" spans="1:15" ht="75" x14ac:dyDescent="0.25">
      <c r="A17" s="10" t="s">
        <v>12</v>
      </c>
      <c r="B17" s="11">
        <f>B18/B16-100%</f>
        <v>-0.5</v>
      </c>
      <c r="C17" s="11">
        <f>5%*C18/C16</f>
        <v>6.6666666666666666E-2</v>
      </c>
      <c r="D17" s="11">
        <v>0</v>
      </c>
      <c r="E17" s="11">
        <v>0.15</v>
      </c>
      <c r="F17" s="11">
        <v>0.1</v>
      </c>
      <c r="G17" s="11">
        <v>0</v>
      </c>
      <c r="H17" s="11">
        <v>0</v>
      </c>
      <c r="I17" s="11">
        <f>I18/I16-100%</f>
        <v>0.15625</v>
      </c>
      <c r="J17" s="8"/>
      <c r="K17" s="12">
        <f>K18</f>
        <v>1</v>
      </c>
      <c r="L17" s="19">
        <f>L16</f>
        <v>1</v>
      </c>
      <c r="M17" s="19">
        <v>0</v>
      </c>
      <c r="N17" s="13" t="s">
        <v>16</v>
      </c>
      <c r="O17" s="16">
        <f>(B17+C17+M17+I17)*K17*L17</f>
        <v>-0.27708333333333335</v>
      </c>
    </row>
    <row r="18" spans="1:15" x14ac:dyDescent="0.25">
      <c r="A18" s="4" t="s">
        <v>11</v>
      </c>
      <c r="B18" s="17">
        <v>500</v>
      </c>
      <c r="C18" s="17">
        <v>4</v>
      </c>
      <c r="D18" s="17">
        <f>D16+D16*D17</f>
        <v>2</v>
      </c>
      <c r="E18" s="17">
        <f t="shared" ref="E18:H18" si="0">E16+E16*E17</f>
        <v>1.1499999999999999</v>
      </c>
      <c r="F18" s="17">
        <f t="shared" si="0"/>
        <v>1.1000000000000001</v>
      </c>
      <c r="G18" s="17">
        <f t="shared" si="0"/>
        <v>1</v>
      </c>
      <c r="H18" s="17">
        <f t="shared" si="0"/>
        <v>0</v>
      </c>
      <c r="I18" s="5">
        <f>SUM(C18:H18)</f>
        <v>9.25</v>
      </c>
      <c r="J18" s="8"/>
      <c r="K18" s="18">
        <v>1</v>
      </c>
      <c r="L18" s="9"/>
      <c r="M18" s="18">
        <v>0.25</v>
      </c>
      <c r="N18" s="14">
        <f>N16+N16*O17</f>
        <v>2.8916666666666666</v>
      </c>
      <c r="O18" s="15">
        <f>O16+O16*O17</f>
        <v>2.8916666666666666</v>
      </c>
    </row>
    <row r="22" spans="1:15" ht="45" x14ac:dyDescent="0.25">
      <c r="A22" s="3" t="s">
        <v>25</v>
      </c>
      <c r="B22" s="3" t="s">
        <v>26</v>
      </c>
      <c r="C22" s="3" t="s">
        <v>27</v>
      </c>
      <c r="D22" s="3" t="s">
        <v>14</v>
      </c>
      <c r="E22" s="3" t="s">
        <v>6</v>
      </c>
      <c r="F22" s="3" t="s">
        <v>11</v>
      </c>
      <c r="G22" s="3" t="s">
        <v>12</v>
      </c>
      <c r="H22" s="3" t="s">
        <v>7</v>
      </c>
      <c r="I22" s="3" t="s">
        <v>9</v>
      </c>
      <c r="J22" s="3" t="s">
        <v>10</v>
      </c>
      <c r="K22" s="3" t="s">
        <v>8</v>
      </c>
      <c r="L22" s="3" t="s">
        <v>2</v>
      </c>
      <c r="M22" s="1"/>
    </row>
    <row r="23" spans="1:15" ht="30" x14ac:dyDescent="0.25">
      <c r="A23" s="4" t="s">
        <v>3</v>
      </c>
      <c r="B23" s="20" t="s">
        <v>5</v>
      </c>
      <c r="C23" s="5"/>
      <c r="D23" s="6"/>
      <c r="E23" s="7"/>
      <c r="F23" s="7"/>
      <c r="G23" s="4"/>
      <c r="H23" s="4"/>
      <c r="I23" s="4"/>
      <c r="J23" s="5"/>
      <c r="K23" s="5"/>
      <c r="L23" s="6"/>
    </row>
    <row r="24" spans="1:15" ht="45" x14ac:dyDescent="0.25">
      <c r="A24" s="10" t="s">
        <v>3</v>
      </c>
      <c r="B24" s="21" t="s">
        <v>13</v>
      </c>
      <c r="C24" s="11"/>
      <c r="D24" s="8"/>
      <c r="E24" s="19"/>
      <c r="F24" s="19"/>
      <c r="G24" s="13"/>
      <c r="H24" s="16"/>
      <c r="I24" s="10"/>
      <c r="J24" s="11"/>
      <c r="K24" s="11"/>
      <c r="L24" s="8"/>
    </row>
  </sheetData>
  <pageMargins left="0.7" right="0.7" top="0.75" bottom="0.75" header="0.3" footer="0.3"/>
  <pageSetup orientation="portrait" r:id="rId1"/>
  <ignoredErrors>
    <ignoredError sqref="L17 I17" formula="1"/>
    <ignoredError sqref="I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995CC090D8E4D91198448F80E89EA" ma:contentTypeVersion="0" ma:contentTypeDescription="Create a new document." ma:contentTypeScope="" ma:versionID="ab398cd8852c2d3e658aacbceb2dd68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11C5E3-71E7-47F0-BFF6-C1FDA46F3203}"/>
</file>

<file path=customXml/itemProps2.xml><?xml version="1.0" encoding="utf-8"?>
<ds:datastoreItem xmlns:ds="http://schemas.openxmlformats.org/officeDocument/2006/customXml" ds:itemID="{F3D39817-0553-43DA-AD13-8D435E10011F}"/>
</file>

<file path=customXml/itemProps3.xml><?xml version="1.0" encoding="utf-8"?>
<ds:datastoreItem xmlns:ds="http://schemas.openxmlformats.org/officeDocument/2006/customXml" ds:itemID="{EDE8A6D3-CF59-4449-BCE0-F3E4034479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Load Metrics</vt:lpstr>
      <vt:lpstr>Coefficients</vt:lpstr>
      <vt:lpstr>Sheet1</vt:lpstr>
      <vt:lpstr>Sheet3</vt:lpstr>
      <vt:lpstr>AvgOrderPerCustomer</vt:lpstr>
      <vt:lpstr>NoOfCustomers</vt:lpstr>
      <vt:lpstr>NoProducts</vt:lpstr>
      <vt:lpstr>OrdDCDLine</vt:lpstr>
      <vt:lpstr>OrdDiscount</vt:lpstr>
      <vt:lpstr>OrdINVLine</vt:lpstr>
      <vt:lpstr>OrdMBRLIne</vt:lpstr>
      <vt:lpstr>OrdMTGLine</vt:lpstr>
      <vt:lpstr>OrdRateStr</vt:lpstr>
      <vt:lpstr>OrdShipDet</vt:lpstr>
      <vt:lpstr>OrdSUBLine</vt:lpstr>
      <vt:lpstr>PectLoad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Bitman, Danil</dc:creator>
  <cp:lastModifiedBy>Miller, Amy</cp:lastModifiedBy>
  <dcterms:created xsi:type="dcterms:W3CDTF">2012-02-29T21:37:31Z</dcterms:created>
  <dcterms:modified xsi:type="dcterms:W3CDTF">2013-10-17T19:45:18Z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0x010100256995CC090D8E4D91198448F80E89EA</vt:lpwstr>
  </property>
</Properties>
</file>